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/>
  <bookViews>
    <workbookView xWindow="120" yWindow="120" windowWidth="15180" windowHeight="8835"/>
  </bookViews>
  <sheets>
    <sheet name="Instructions" sheetId="135" r:id="rId1"/>
    <sheet name="Sample Output" sheetId="137" r:id="rId2"/>
    <sheet name="Trend Curves Model Example" sheetId="3" r:id="rId3"/>
  </sheets>
  <functionGroups builtInGroupCount="17"/>
  <definedNames>
    <definedName name="OLE_LINK1" localSheetId="0">Instructions!$G$9</definedName>
    <definedName name="solver_adj" localSheetId="1" hidden="1">'Sample Output'!$P$26:$P$28</definedName>
    <definedName name="solver_adj" localSheetId="2" hidden="1">'Trend Curves Model Example'!#REF!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1000</definedName>
    <definedName name="solver_itr" localSheetId="2" hidden="1">100</definedName>
    <definedName name="solver_lhs1" localSheetId="1" hidden="1">'Sample Output'!$P$26</definedName>
    <definedName name="solver_lhs1" localSheetId="2" hidden="1">'Trend Curves Model Example'!#REF!</definedName>
    <definedName name="solver_lhs2" localSheetId="1" hidden="1">'Sample Output'!$P$27</definedName>
    <definedName name="solver_lhs2" localSheetId="2" hidden="1">'Trend Curves Model Example'!#REF!</definedName>
    <definedName name="solver_lhs3" localSheetId="1" hidden="1">'Sample Output'!$P$28</definedName>
    <definedName name="solver_lhs3" localSheetId="2" hidden="1">'Trend Curves Model Example'!#REF!</definedName>
    <definedName name="solver_lhs4" localSheetId="1" hidden="1">'Sample Output'!$N$29</definedName>
    <definedName name="solver_lhs4" localSheetId="2" hidden="1">'Trend Curves Model Example'!#REF!</definedName>
    <definedName name="solver_lhs5" localSheetId="2" hidden="1">'Trend Curves Model Example'!#REF!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3</definedName>
    <definedName name="solver_num" localSheetId="2" hidden="1">5</definedName>
    <definedName name="solver_nwt" localSheetId="1" hidden="1">1</definedName>
    <definedName name="solver_nwt" localSheetId="2" hidden="1">1</definedName>
    <definedName name="solver_opt" localSheetId="1" hidden="1">'Sample Output'!$P$13</definedName>
    <definedName name="solver_opt" localSheetId="2" hidden="1">'Trend Curves Model Example'!#REF!</definedName>
    <definedName name="solver_pre" localSheetId="1" hidden="1">0.000001</definedName>
    <definedName name="solver_pre" localSheetId="2" hidden="1">0.000001</definedName>
    <definedName name="solver_rel1" localSheetId="1" hidden="1">3</definedName>
    <definedName name="solver_rel1" localSheetId="2" hidden="1">3</definedName>
    <definedName name="solver_rel2" localSheetId="1" hidden="1">3</definedName>
    <definedName name="solver_rel2" localSheetId="2" hidden="1">3</definedName>
    <definedName name="solver_rel3" localSheetId="1" hidden="1">3</definedName>
    <definedName name="solver_rel3" localSheetId="2" hidden="1">3</definedName>
    <definedName name="solver_rel4" localSheetId="1" hidden="1">3</definedName>
    <definedName name="solver_rel4" localSheetId="2" hidden="1">3</definedName>
    <definedName name="solver_rel5" localSheetId="2" hidden="1">3</definedName>
    <definedName name="solver_rhs1" localSheetId="1" hidden="1">0.0000001</definedName>
    <definedName name="solver_rhs1" localSheetId="2" hidden="1">0.0000001</definedName>
    <definedName name="solver_rhs2" localSheetId="1" hidden="1">0.0000001</definedName>
    <definedName name="solver_rhs2" localSheetId="2" hidden="1">0.0000001</definedName>
    <definedName name="solver_rhs3" localSheetId="1" hidden="1">0.0000001</definedName>
    <definedName name="solver_rhs3" localSheetId="2" hidden="1">0.0000001</definedName>
    <definedName name="solver_rhs4" localSheetId="1" hidden="1">0.0000001</definedName>
    <definedName name="solver_rhs4" localSheetId="2" hidden="1">0.0000001</definedName>
    <definedName name="solver_rhs5" localSheetId="2" hidden="1">0.0000001</definedName>
    <definedName name="solver_scl" localSheetId="1" hidden="1">0</definedName>
    <definedName name="solver_scl" localSheetId="2" hidden="1">0</definedName>
    <definedName name="solver_sho" localSheetId="1" hidden="1">2</definedName>
    <definedName name="solver_sho" localSheetId="2" hidden="1">2</definedName>
    <definedName name="solver_tim" localSheetId="1" hidden="1">200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</definedNames>
  <calcPr calcId="145621"/>
</workbook>
</file>

<file path=xl/calcChain.xml><?xml version="1.0" encoding="utf-8"?>
<calcChain xmlns="http://schemas.openxmlformats.org/spreadsheetml/2006/main">
  <c r="G35" i="137" l="1"/>
  <c r="G34" i="137"/>
  <c r="G33" i="137"/>
  <c r="G32" i="137"/>
  <c r="G31" i="137"/>
  <c r="G30" i="137"/>
  <c r="G29" i="137"/>
  <c r="G28" i="137"/>
  <c r="G27" i="137"/>
  <c r="G26" i="137"/>
  <c r="G25" i="137"/>
  <c r="G24" i="137"/>
  <c r="G23" i="137"/>
  <c r="G22" i="137"/>
  <c r="G21" i="137"/>
  <c r="G20" i="137"/>
  <c r="G19" i="137"/>
  <c r="G18" i="137"/>
  <c r="G17" i="137"/>
  <c r="G16" i="137"/>
  <c r="G15" i="137"/>
  <c r="G14" i="137"/>
  <c r="G13" i="137"/>
  <c r="G12" i="137"/>
  <c r="G11" i="137"/>
  <c r="G10" i="137"/>
  <c r="G9" i="137"/>
  <c r="G8" i="137"/>
  <c r="G7" i="137"/>
  <c r="G6" i="137"/>
  <c r="F35" i="137"/>
  <c r="F34" i="137"/>
  <c r="F33" i="137"/>
  <c r="F32" i="137"/>
  <c r="F31" i="137"/>
  <c r="F30" i="137"/>
  <c r="F29" i="137"/>
  <c r="F28" i="137"/>
  <c r="F27" i="137"/>
  <c r="F26" i="137"/>
  <c r="F25" i="137"/>
  <c r="F24" i="137"/>
  <c r="F23" i="137"/>
  <c r="F22" i="137"/>
  <c r="F21" i="137"/>
  <c r="F20" i="137"/>
  <c r="F19" i="137"/>
  <c r="F18" i="137"/>
  <c r="F17" i="137"/>
  <c r="F16" i="137"/>
  <c r="F15" i="137"/>
  <c r="F14" i="137"/>
  <c r="F13" i="137"/>
  <c r="F12" i="137"/>
  <c r="F11" i="137"/>
  <c r="F10" i="137"/>
  <c r="F9" i="137"/>
  <c r="F8" i="137"/>
  <c r="F7" i="137"/>
  <c r="F6" i="137"/>
  <c r="P12" i="137"/>
  <c r="N13" i="137"/>
  <c r="N12" i="137"/>
  <c r="P13" i="137"/>
  <c r="N15" i="137"/>
  <c r="N14" i="137"/>
  <c r="P15" i="137"/>
  <c r="P14" i="137"/>
</calcChain>
</file>

<file path=xl/sharedStrings.xml><?xml version="1.0" encoding="utf-8"?>
<sst xmlns="http://schemas.openxmlformats.org/spreadsheetml/2006/main" count="33" uniqueCount="21">
  <si>
    <t>Sales, N(t)</t>
  </si>
  <si>
    <t>Period, t</t>
  </si>
  <si>
    <t>Paramters</t>
  </si>
  <si>
    <t>b</t>
  </si>
  <si>
    <t>c</t>
  </si>
  <si>
    <t>d</t>
  </si>
  <si>
    <t>M</t>
  </si>
  <si>
    <t>a</t>
  </si>
  <si>
    <t>Logistic</t>
  </si>
  <si>
    <t>Forecasting Information for Logistic Response</t>
  </si>
  <si>
    <t>Total Observations</t>
  </si>
  <si>
    <t>Holdout</t>
  </si>
  <si>
    <t>Forecast Horizon</t>
  </si>
  <si>
    <t>In sample Error</t>
  </si>
  <si>
    <t>Mean of Absolute Deviation</t>
  </si>
  <si>
    <t>Mean of Squared Residual</t>
  </si>
  <si>
    <t>Root Mean of Squared Residual</t>
  </si>
  <si>
    <t>Mean of Absolute Percent Error</t>
  </si>
  <si>
    <t>Gompertz</t>
  </si>
  <si>
    <t>Forecasting Information for Gompertz Response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</si>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</sst>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6" fontId="0" fillId="0" borderId="4" xfId="0" applyNumberFormat="1" applyBorder="1"/>
    <xf numFmtId="0" fontId="0" fillId="0" borderId="5" xfId="0" applyBorder="1"/>
    <xf numFmtId="166" fontId="0" fillId="0" borderId="6" xfId="0" applyNumberForma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n-GB"/>
              <a:t>Forecasting using Market Response Model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Sales, N(t)</c:v>
          </c:tx>
          <c:marker>
            <c:symbol val="none"/>
          </c:marker>
          <c:xVal>
            <c:numRef>
              <c:f>'Sample Output'!$D$6:$D$25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'Sample Output'!$E$6:$E$25</c:f>
              <c:numCache>
                <c:formatCode>0.000</c:formatCode>
                <c:ptCount val="20"/>
                <c:pt idx="0">
                  <c:v>4.0899591508379907E-2</c:v>
                </c:pt>
                <c:pt idx="1">
                  <c:v>8.0048076237159996E-2</c:v>
                </c:pt>
                <c:pt idx="2">
                  <c:v>9.1068111793234915E-2</c:v>
                </c:pt>
                <c:pt idx="3">
                  <c:v>0.13718935258429801</c:v>
                </c:pt>
                <c:pt idx="4">
                  <c:v>0.206905739497008</c:v>
                </c:pt>
                <c:pt idx="5">
                  <c:v>0.17772878162495426</c:v>
                </c:pt>
                <c:pt idx="6">
                  <c:v>0.28643049686583255</c:v>
                </c:pt>
                <c:pt idx="7">
                  <c:v>0.56310898001108611</c:v>
                </c:pt>
                <c:pt idx="8">
                  <c:v>0.76194465093335972</c:v>
                </c:pt>
                <c:pt idx="9">
                  <c:v>0.72602132537895736</c:v>
                </c:pt>
                <c:pt idx="10">
                  <c:v>0.81306500134634796</c:v>
                </c:pt>
                <c:pt idx="11">
                  <c:v>0.80442339766310056</c:v>
                </c:pt>
                <c:pt idx="12">
                  <c:v>0.82368392056159478</c:v>
                </c:pt>
                <c:pt idx="13">
                  <c:v>0.88206121534868132</c:v>
                </c:pt>
                <c:pt idx="14">
                  <c:v>0.90098460118400614</c:v>
                </c:pt>
                <c:pt idx="15">
                  <c:v>0.84189431123795577</c:v>
                </c:pt>
                <c:pt idx="16">
                  <c:v>0.91902559749945023</c:v>
                </c:pt>
                <c:pt idx="17">
                  <c:v>0.92853834763742138</c:v>
                </c:pt>
                <c:pt idx="18">
                  <c:v>0.95514221363027951</c:v>
                </c:pt>
                <c:pt idx="19">
                  <c:v>0.93189888006147681</c:v>
                </c:pt>
              </c:numCache>
            </c:numRef>
          </c:yVal>
          <c:smooth val="0"/>
        </c:ser>
        <c:ser>
          <c:idx val="1"/>
          <c:order val="1"/>
          <c:tx>
            <c:v>Logistic (Fit Sample)</c:v>
          </c:tx>
          <c:marker>
            <c:symbol val="none"/>
          </c:marker>
          <c:xVal>
            <c:numRef>
              <c:f>'Sample Output'!$D$6:$D$25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'Sample Output'!$F$6:$F$25</c:f>
              <c:numCache>
                <c:formatCode>0.000</c:formatCode>
                <c:ptCount val="20"/>
                <c:pt idx="0">
                  <c:v>9.7864492982793996E-2</c:v>
                </c:pt>
                <c:pt idx="1">
                  <c:v>0.10011541946719292</c:v>
                </c:pt>
                <c:pt idx="2">
                  <c:v>0.1056825888153278</c:v>
                </c:pt>
                <c:pt idx="3">
                  <c:v>0.119251284386082</c:v>
                </c:pt>
                <c:pt idx="4">
                  <c:v>0.15117241500368145</c:v>
                </c:pt>
                <c:pt idx="5">
                  <c:v>0.22040388605455957</c:v>
                </c:pt>
                <c:pt idx="6">
                  <c:v>0.34724991581371367</c:v>
                </c:pt>
                <c:pt idx="7">
                  <c:v>0.52112603914020561</c:v>
                </c:pt>
                <c:pt idx="8">
                  <c:v>0.68421442063529714</c:v>
                </c:pt>
                <c:pt idx="9">
                  <c:v>0.79097677279625156</c:v>
                </c:pt>
                <c:pt idx="10">
                  <c:v>0.84543649252739628</c:v>
                </c:pt>
                <c:pt idx="11">
                  <c:v>0.86970856221371751</c:v>
                </c:pt>
                <c:pt idx="12">
                  <c:v>0.87987169781552443</c:v>
                </c:pt>
                <c:pt idx="13">
                  <c:v>0.88401541757361046</c:v>
                </c:pt>
                <c:pt idx="14">
                  <c:v>0.88568652085728072</c:v>
                </c:pt>
                <c:pt idx="15">
                  <c:v>0.88635747749210958</c:v>
                </c:pt>
                <c:pt idx="16">
                  <c:v>0.88662639123255715</c:v>
                </c:pt>
                <c:pt idx="17">
                  <c:v>0.88673409272257198</c:v>
                </c:pt>
                <c:pt idx="18">
                  <c:v>0.8867772154595106</c:v>
                </c:pt>
                <c:pt idx="19">
                  <c:v>0.88679447945145395</c:v>
                </c:pt>
              </c:numCache>
            </c:numRef>
          </c:yVal>
          <c:smooth val="0"/>
        </c:ser>
        <c:ser>
          <c:idx val="2"/>
          <c:order val="2"/>
          <c:tx>
            <c:v>Logistic (Forecast)</c:v>
          </c:tx>
          <c:marker>
            <c:symbol val="none"/>
          </c:marker>
          <c:xVal>
            <c:numRef>
              <c:f>'Sample Output'!$D$26:$D$35</c:f>
              <c:numCache>
                <c:formatCode>General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xVal>
          <c:yVal>
            <c:numRef>
              <c:f>'Sample Output'!$F$26:$F$35</c:f>
              <c:numCache>
                <c:formatCode>0.000</c:formatCode>
                <c:ptCount val="10"/>
                <c:pt idx="0">
                  <c:v>0.88680139069560182</c:v>
                </c:pt>
                <c:pt idx="1">
                  <c:v>0.88680415740331187</c:v>
                </c:pt>
                <c:pt idx="2">
                  <c:v>0.88680526496299084</c:v>
                </c:pt>
                <c:pt idx="3">
                  <c:v>0.88680570833647487</c:v>
                </c:pt>
                <c:pt idx="4">
                  <c:v>0.88680588582561515</c:v>
                </c:pt>
                <c:pt idx="5">
                  <c:v>0.88680595687718033</c:v>
                </c:pt>
                <c:pt idx="6">
                  <c:v>0.8868059853201824</c:v>
                </c:pt>
                <c:pt idx="7">
                  <c:v>0.88680599670633975</c:v>
                </c:pt>
                <c:pt idx="8">
                  <c:v>0.88680600126438802</c:v>
                </c:pt>
                <c:pt idx="9">
                  <c:v>0.88680600308904256</c:v>
                </c:pt>
              </c:numCache>
            </c:numRef>
          </c:yVal>
          <c:smooth val="0"/>
        </c:ser>
        <c:ser>
          <c:idx val="3"/>
          <c:order val="3"/>
          <c:tx>
            <c:v>Gompertz (Fit Sample)</c:v>
          </c:tx>
          <c:marker>
            <c:symbol val="none"/>
          </c:marker>
          <c:xVal>
            <c:numRef>
              <c:f>'Sample Output'!$D$6:$D$25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'Sample Output'!$G$6:$G$25</c:f>
              <c:numCache>
                <c:formatCode>0.000</c:formatCode>
                <c:ptCount val="20"/>
                <c:pt idx="0">
                  <c:v>2.6923264676055028E-4</c:v>
                </c:pt>
                <c:pt idx="1">
                  <c:v>3.5638863999971683E-3</c:v>
                </c:pt>
                <c:pt idx="2">
                  <c:v>2.0808904226632015E-2</c:v>
                </c:pt>
                <c:pt idx="3">
                  <c:v>6.9461492922379145E-2</c:v>
                </c:pt>
                <c:pt idx="4">
                  <c:v>0.15825440615882613</c:v>
                </c:pt>
                <c:pt idx="5">
                  <c:v>0.27774662080030549</c:v>
                </c:pt>
                <c:pt idx="6">
                  <c:v>0.40787873866762336</c:v>
                </c:pt>
                <c:pt idx="7">
                  <c:v>0.5303130155891298</c:v>
                </c:pt>
                <c:pt idx="8">
                  <c:v>0.63446724150073253</c:v>
                </c:pt>
                <c:pt idx="9">
                  <c:v>0.71714794834142326</c:v>
                </c:pt>
                <c:pt idx="10">
                  <c:v>0.77974146624907015</c:v>
                </c:pt>
                <c:pt idx="11">
                  <c:v>0.82561318083339463</c:v>
                </c:pt>
                <c:pt idx="12">
                  <c:v>0.85849117384422813</c:v>
                </c:pt>
                <c:pt idx="13">
                  <c:v>0.88170047532106599</c:v>
                </c:pt>
                <c:pt idx="14">
                  <c:v>0.89791499756360682</c:v>
                </c:pt>
                <c:pt idx="15">
                  <c:v>0.90916261296566425</c:v>
                </c:pt>
                <c:pt idx="16">
                  <c:v>0.91692701460814219</c:v>
                </c:pt>
                <c:pt idx="17">
                  <c:v>0.92226914654899395</c:v>
                </c:pt>
                <c:pt idx="18">
                  <c:v>0.92593636456825235</c:v>
                </c:pt>
                <c:pt idx="19">
                  <c:v>0.92844990708484643</c:v>
                </c:pt>
              </c:numCache>
            </c:numRef>
          </c:yVal>
          <c:smooth val="0"/>
        </c:ser>
        <c:ser>
          <c:idx val="4"/>
          <c:order val="4"/>
          <c:tx>
            <c:v>Gompertz (Forecast)</c:v>
          </c:tx>
          <c:marker>
            <c:symbol val="none"/>
          </c:marker>
          <c:xVal>
            <c:numRef>
              <c:f>'Sample Output'!$D$26:$D$35</c:f>
              <c:numCache>
                <c:formatCode>General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xVal>
          <c:yVal>
            <c:numRef>
              <c:f>'Sample Output'!$G$26:$G$35</c:f>
              <c:numCache>
                <c:formatCode>0.000</c:formatCode>
                <c:ptCount val="10"/>
                <c:pt idx="0">
                  <c:v>0.93017088867853026</c:v>
                </c:pt>
                <c:pt idx="1">
                  <c:v>0.93134836529552512</c:v>
                </c:pt>
                <c:pt idx="2">
                  <c:v>0.93215358408501747</c:v>
                </c:pt>
                <c:pt idx="3">
                  <c:v>0.93270404819074559</c:v>
                </c:pt>
                <c:pt idx="4">
                  <c:v>0.93308027005169891</c:v>
                </c:pt>
                <c:pt idx="5">
                  <c:v>0.93333736330507522</c:v>
                </c:pt>
                <c:pt idx="6">
                  <c:v>0.93351303048429124</c:v>
                </c:pt>
                <c:pt idx="7">
                  <c:v>0.93363305187912737</c:v>
                </c:pt>
                <c:pt idx="8">
                  <c:v>0.93371505019186452</c:v>
                </c:pt>
                <c:pt idx="9">
                  <c:v>0.93377106931072895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39936"/>
        <c:axId val="92841856"/>
      </c:scatterChart>
      <c:valAx>
        <c:axId val="9283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Period, 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841856"/>
        <c:crosses val="autoZero"/>
        <c:crossBetween val="midCat"/>
      </c:valAx>
      <c:valAx>
        <c:axId val="92841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Sales, N(t)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283993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1.1428571428571441E-2"/>
          <c:y val="0.83214645669291365"/>
          <c:w val="0.98571428571428532"/>
          <c:h val="0.15071068616422964"/>
        </c:manualLayout>
      </c:layout>
      <c:overlay val="0"/>
    </c:legend>
    <c:plotVisOnly val="1"/>
    <c:dispBlanksAs val="gap"/>
    <c:showDLblsOverMax val="0"/>
  </c:chart>
  <c:spPr>
    <a:solidFill>
      <a:srgbClr val="CCCCFF"/>
    </a:solidFill>
    <a:ln w="12700">
      <a:solidFill>
        <a:prstClr val="black"/>
      </a:solidFill>
      <a:prstDash val="solid"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14</xdr:row>
          <xdr:rowOff>57150</xdr:rowOff>
        </xdr:from>
        <xdr:to>
          <xdr:col>13</xdr:col>
          <xdr:colOff>161925</xdr:colOff>
          <xdr:row>70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70</xdr:row>
          <xdr:rowOff>19050</xdr:rowOff>
        </xdr:from>
        <xdr:to>
          <xdr:col>13</xdr:col>
          <xdr:colOff>152400</xdr:colOff>
          <xdr:row>128</xdr:row>
          <xdr:rowOff>28575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128</xdr:row>
          <xdr:rowOff>38100</xdr:rowOff>
        </xdr:from>
        <xdr:to>
          <xdr:col>13</xdr:col>
          <xdr:colOff>161925</xdr:colOff>
          <xdr:row>183</xdr:row>
          <xdr:rowOff>57150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736600</xdr:colOff>
      <xdr:row>5</xdr:row>
      <xdr:rowOff>60325</xdr:rowOff>
    </xdr:from>
    <xdr:to>
      <xdr:col>11</xdr:col>
      <xdr:colOff>342900</xdr:colOff>
      <xdr:row>32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2</xdr:row>
          <xdr:rowOff>104775</xdr:rowOff>
        </xdr:from>
        <xdr:to>
          <xdr:col>11</xdr:col>
          <xdr:colOff>600075</xdr:colOff>
          <xdr:row>5</xdr:row>
          <xdr:rowOff>38100</xdr:rowOff>
        </xdr:to>
        <xdr:sp macro="" textlink="">
          <xdr:nvSpPr>
            <xdr:cNvPr id="6194" name="Button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call the Forecasting Graphical User Interface.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"/>
  <sheetViews>
    <sheetView tabSelected="1" workbookViewId="0">
      <selection activeCell="P163" sqref="P163"/>
    </sheetView>
  </sheetViews>
  <sheetFormatPr defaultRowHeight="12.75" x14ac:dyDescent="0.2"/>
  <cols>
    <col min="1" max="3" width="9.140625" style="13"/>
    <col min="4" max="4" width="9.140625" style="13" customWidth="1"/>
    <col min="5" max="6" width="9.140625" style="13"/>
    <col min="7" max="7" width="8.85546875" style="13" customWidth="1"/>
    <col min="8" max="16384" width="9.140625" style="13"/>
  </cols>
  <sheetData/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r:id="rId5">
            <anchor moveWithCells="1">
              <from>
                <xdr:col>3</xdr:col>
                <xdr:colOff>485775</xdr:colOff>
                <xdr:row>14</xdr:row>
                <xdr:rowOff>57150</xdr:rowOff>
              </from>
              <to>
                <xdr:col>13</xdr:col>
                <xdr:colOff>161925</xdr:colOff>
                <xdr:row>70</xdr:row>
                <xdr:rowOff>38100</xdr:rowOff>
              </to>
            </anchor>
          </objectPr>
        </oleObject>
      </mc:Choice>
      <mc:Fallback>
        <oleObject progId="Word.Document.12" shapeId="7169" r:id="rId4"/>
      </mc:Fallback>
    </mc:AlternateContent>
    <mc:AlternateContent xmlns:mc="http://schemas.openxmlformats.org/markup-compatibility/2006">
      <mc:Choice Requires="x14">
        <oleObject progId="Word.Document.12" shapeId="7170" r:id="rId6">
          <objectPr defaultSize="0" r:id="rId7">
            <anchor moveWithCells="1">
              <from>
                <xdr:col>3</xdr:col>
                <xdr:colOff>504825</xdr:colOff>
                <xdr:row>70</xdr:row>
                <xdr:rowOff>19050</xdr:rowOff>
              </from>
              <to>
                <xdr:col>13</xdr:col>
                <xdr:colOff>152400</xdr:colOff>
                <xdr:row>128</xdr:row>
                <xdr:rowOff>28575</xdr:rowOff>
              </to>
            </anchor>
          </objectPr>
        </oleObject>
      </mc:Choice>
      <mc:Fallback>
        <oleObject progId="Word.Document.12" shapeId="7170" r:id="rId6"/>
      </mc:Fallback>
    </mc:AlternateContent>
    <mc:AlternateContent xmlns:mc="http://schemas.openxmlformats.org/markup-compatibility/2006">
      <mc:Choice Requires="x14">
        <oleObject progId="Word.Document.12" shapeId="7172" r:id="rId8">
          <objectPr defaultSize="0" r:id="rId9">
            <anchor moveWithCells="1">
              <from>
                <xdr:col>3</xdr:col>
                <xdr:colOff>476250</xdr:colOff>
                <xdr:row>128</xdr:row>
                <xdr:rowOff>38100</xdr:rowOff>
              </from>
              <to>
                <xdr:col>13</xdr:col>
                <xdr:colOff>161925</xdr:colOff>
                <xdr:row>183</xdr:row>
                <xdr:rowOff>57150</xdr:rowOff>
              </to>
            </anchor>
          </objectPr>
        </oleObject>
      </mc:Choice>
      <mc:Fallback>
        <oleObject progId="Word.Document.12" shapeId="7172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D4:P35"/>
  <sheetViews>
    <sheetView workbookViewId="0">
      <selection activeCell="D30" sqref="D30"/>
    </sheetView>
  </sheetViews>
  <sheetFormatPr defaultRowHeight="12.75" x14ac:dyDescent="0.2"/>
  <cols>
    <col min="5" max="7" width="12" style="5" bestFit="1" customWidth="1"/>
    <col min="13" max="13" width="39.7109375" bestFit="1" customWidth="1"/>
    <col min="14" max="14" width="11.5703125" bestFit="1" customWidth="1"/>
    <col min="15" max="15" width="41.42578125" bestFit="1" customWidth="1"/>
    <col min="16" max="16" width="9.5703125" bestFit="1" customWidth="1"/>
  </cols>
  <sheetData>
    <row r="4" spans="4:16" ht="13.5" thickBot="1" x14ac:dyDescent="0.25"/>
    <row r="5" spans="4:16" ht="13.5" thickTop="1" x14ac:dyDescent="0.2">
      <c r="D5" t="s">
        <v>20</v>
      </c>
      <c r="E5" s="5" t="s">
        <v>0</v>
      </c>
      <c r="F5" s="5" t="s">
        <v>8</v>
      </c>
      <c r="G5" s="5" t="s">
        <v>18</v>
      </c>
      <c r="M5" s="6" t="s">
        <v>9</v>
      </c>
      <c r="N5" s="7"/>
      <c r="O5" s="6" t="s">
        <v>19</v>
      </c>
      <c r="P5" s="7"/>
    </row>
    <row r="6" spans="4:16" x14ac:dyDescent="0.2">
      <c r="D6">
        <v>1</v>
      </c>
      <c r="E6" s="5">
        <v>4.0899591508379907E-2</v>
      </c>
      <c r="F6" s="5">
        <f>$N$29*((1-$N$26*EXP(-$N$27*1)/(1+$N$28*EXP(-$N$27*1))))</f>
        <v>9.7864492982793996E-2</v>
      </c>
      <c r="G6" s="5">
        <f>$P$28*EXP(-$P$26*EXP(-$P$27*1))</f>
        <v>2.6923264676055028E-4</v>
      </c>
      <c r="M6" s="8"/>
      <c r="N6" s="9"/>
      <c r="O6" s="8"/>
      <c r="P6" s="9"/>
    </row>
    <row r="7" spans="4:16" x14ac:dyDescent="0.2">
      <c r="D7">
        <v>2</v>
      </c>
      <c r="E7" s="5">
        <v>8.0048076237159996E-2</v>
      </c>
      <c r="F7" s="5">
        <f>$N$29*((1-$N$26*EXP(-$N$27*2)/(1+$N$28*EXP(-$N$27*2))))</f>
        <v>0.10011541946719292</v>
      </c>
      <c r="G7" s="5">
        <f>$P$28*EXP(-$P$26*EXP(-$P$27*2))</f>
        <v>3.5638863999971683E-3</v>
      </c>
      <c r="M7" s="8" t="s">
        <v>10</v>
      </c>
      <c r="N7" s="9">
        <v>20</v>
      </c>
      <c r="O7" s="8" t="s">
        <v>10</v>
      </c>
      <c r="P7" s="9">
        <v>20</v>
      </c>
    </row>
    <row r="8" spans="4:16" x14ac:dyDescent="0.2">
      <c r="D8">
        <v>3</v>
      </c>
      <c r="E8" s="5">
        <v>9.1068111793234915E-2</v>
      </c>
      <c r="F8" s="5">
        <f>$N$29*((1-$N$26*EXP(-$N$27*3)/(1+$N$28*EXP(-$N$27*3))))</f>
        <v>0.1056825888153278</v>
      </c>
      <c r="G8" s="5">
        <f>$P$28*EXP(-$P$26*EXP(-$P$27*3))</f>
        <v>2.0808904226632015E-2</v>
      </c>
      <c r="M8" s="8" t="s">
        <v>11</v>
      </c>
      <c r="N8" s="9">
        <v>0</v>
      </c>
      <c r="O8" s="8" t="s">
        <v>11</v>
      </c>
      <c r="P8" s="9">
        <v>0</v>
      </c>
    </row>
    <row r="9" spans="4:16" x14ac:dyDescent="0.2">
      <c r="D9">
        <v>4</v>
      </c>
      <c r="E9" s="5">
        <v>0.13718935258429801</v>
      </c>
      <c r="F9" s="5">
        <f>$N$29*((1-$N$26*EXP(-$N$27*4)/(1+$N$28*EXP(-$N$27*4))))</f>
        <v>0.119251284386082</v>
      </c>
      <c r="G9" s="5">
        <f>$P$28*EXP(-$P$26*EXP(-$P$27*4))</f>
        <v>6.9461492922379145E-2</v>
      </c>
      <c r="M9" s="8" t="s">
        <v>12</v>
      </c>
      <c r="N9" s="9">
        <v>10</v>
      </c>
      <c r="O9" s="8" t="s">
        <v>12</v>
      </c>
      <c r="P9" s="9">
        <v>10</v>
      </c>
    </row>
    <row r="10" spans="4:16" x14ac:dyDescent="0.2">
      <c r="D10">
        <v>5</v>
      </c>
      <c r="E10" s="5">
        <v>0.206905739497008</v>
      </c>
      <c r="F10" s="5">
        <f>$N$29*((1-$N$26*EXP(-$N$27*5)/(1+$N$28*EXP(-$N$27*5))))</f>
        <v>0.15117241500368145</v>
      </c>
      <c r="G10" s="5">
        <f>$P$28*EXP(-$P$26*EXP(-$P$27*5))</f>
        <v>0.15825440615882613</v>
      </c>
      <c r="M10" s="8"/>
      <c r="N10" s="9"/>
      <c r="O10" s="8"/>
      <c r="P10" s="9"/>
    </row>
    <row r="11" spans="4:16" x14ac:dyDescent="0.2">
      <c r="D11">
        <v>6</v>
      </c>
      <c r="E11" s="5">
        <v>0.17772878162495426</v>
      </c>
      <c r="F11" s="5">
        <f>$N$29*((1-$N$26*EXP(-$N$27*6)/(1+$N$28*EXP(-$N$27*6))))</f>
        <v>0.22040388605455957</v>
      </c>
      <c r="G11" s="5">
        <f>$P$28*EXP(-$P$26*EXP(-$P$27*6))</f>
        <v>0.27774662080030549</v>
      </c>
      <c r="M11" s="8" t="s">
        <v>13</v>
      </c>
      <c r="N11" s="9"/>
      <c r="O11" s="8" t="s">
        <v>13</v>
      </c>
      <c r="P11" s="9"/>
    </row>
    <row r="12" spans="4:16" x14ac:dyDescent="0.2">
      <c r="D12">
        <v>7</v>
      </c>
      <c r="E12" s="5">
        <v>0.28643049686583255</v>
      </c>
      <c r="F12" s="5">
        <f>$N$29*((1-$N$26*EXP(-$N$27*7)/(1+$N$28*EXP(-$N$27*7))))</f>
        <v>0.34724991581371367</v>
      </c>
      <c r="G12" s="5">
        <f>$P$28*EXP(-$P$26*EXP(-$P$27*7))</f>
        <v>0.40787873866762336</v>
      </c>
      <c r="M12" s="8" t="s">
        <v>14</v>
      </c>
      <c r="N12" s="10">
        <f>sF_MAD($E$6:$E$25, $F$6:$F$25)</f>
        <v>4.2835699906787185E-2</v>
      </c>
      <c r="O12" s="8" t="s">
        <v>14</v>
      </c>
      <c r="P12" s="10">
        <f>sF_MAD($E$6:$E$25, $G$6:$G$25)</f>
        <v>4.4770380203953339E-2</v>
      </c>
    </row>
    <row r="13" spans="4:16" x14ac:dyDescent="0.2">
      <c r="D13">
        <v>8</v>
      </c>
      <c r="E13" s="5">
        <v>0.56310898001108611</v>
      </c>
      <c r="F13" s="5">
        <f>$N$29*((1-$N$26*EXP(-$N$27*8)/(1+$N$28*EXP(-$N$27*8))))</f>
        <v>0.52112603914020561</v>
      </c>
      <c r="G13" s="5">
        <f>$P$28*EXP(-$P$26*EXP(-$P$27*8))</f>
        <v>0.5303130155891298</v>
      </c>
      <c r="M13" s="8" t="s">
        <v>15</v>
      </c>
      <c r="N13" s="10">
        <f>sF_MSE($E$6:$E$25, $F$6:$F$25)</f>
        <v>2.2510315699121432E-3</v>
      </c>
      <c r="O13" s="8" t="s">
        <v>15</v>
      </c>
      <c r="P13" s="10">
        <f>sF_MSE($E$6:$E$25, $G$6:$G$25)</f>
        <v>3.4881622594531772E-3</v>
      </c>
    </row>
    <row r="14" spans="4:16" x14ac:dyDescent="0.2">
      <c r="D14">
        <v>9</v>
      </c>
      <c r="E14" s="5">
        <v>0.76194465093335972</v>
      </c>
      <c r="F14" s="5">
        <f>$N$29*((1-$N$26*EXP(-$N$27*9)/(1+$N$28*EXP(-$N$27*9))))</f>
        <v>0.68421442063529714</v>
      </c>
      <c r="G14" s="5">
        <f>$P$28*EXP(-$P$26*EXP(-$P$27*9))</f>
        <v>0.63446724150073253</v>
      </c>
      <c r="M14" s="8" t="s">
        <v>16</v>
      </c>
      <c r="N14" s="10">
        <f>sF_RMSE($E$6:$E$25, $F$6:$F$25)</f>
        <v>4.7445037358106727E-2</v>
      </c>
      <c r="O14" s="8" t="s">
        <v>16</v>
      </c>
      <c r="P14" s="10">
        <f>sF_RMSE($E$6:$E$25, $G$6:$G$25)</f>
        <v>5.906066592456588E-2</v>
      </c>
    </row>
    <row r="15" spans="4:16" x14ac:dyDescent="0.2">
      <c r="D15">
        <v>10</v>
      </c>
      <c r="E15" s="5">
        <v>0.72602132537895736</v>
      </c>
      <c r="F15" s="5">
        <f>$N$29*((1-$N$26*EXP(-$N$27*10)/(1+$N$28*EXP(-$N$27*10))))</f>
        <v>0.79097677279625156</v>
      </c>
      <c r="G15" s="5">
        <f>$P$28*EXP(-$P$26*EXP(-$P$27*10))</f>
        <v>0.71714794834142326</v>
      </c>
      <c r="M15" s="8" t="s">
        <v>17</v>
      </c>
      <c r="N15" s="10">
        <f>sF_MAPE($E$6:$E$25, $F$6:$F$25)</f>
        <v>0.16920116739068197</v>
      </c>
      <c r="O15" s="8" t="s">
        <v>17</v>
      </c>
      <c r="P15" s="10">
        <f>sF_MAPE($E$6:$E$25, $G$6:$G$25)</f>
        <v>0.24551806972434354</v>
      </c>
    </row>
    <row r="16" spans="4:16" x14ac:dyDescent="0.2">
      <c r="D16">
        <v>11</v>
      </c>
      <c r="E16" s="5">
        <v>0.81306500134634796</v>
      </c>
      <c r="F16" s="5">
        <f>$N$29*((1-$N$26*EXP(-$N$27*11)/(1+$N$28*EXP(-$N$27*11))))</f>
        <v>0.84543649252739628</v>
      </c>
      <c r="G16" s="5">
        <f>$P$28*EXP(-$P$26*EXP(-$P$27*11))</f>
        <v>0.77974146624907015</v>
      </c>
      <c r="M16" s="8"/>
      <c r="N16" s="10"/>
      <c r="O16" s="8"/>
      <c r="P16" s="10"/>
    </row>
    <row r="17" spans="4:16" x14ac:dyDescent="0.2">
      <c r="D17">
        <v>12</v>
      </c>
      <c r="E17" s="5">
        <v>0.80442339766310056</v>
      </c>
      <c r="F17" s="5">
        <f>$N$29*((1-$N$26*EXP(-$N$27*12)/(1+$N$28*EXP(-$N$27*12))))</f>
        <v>0.86970856221371751</v>
      </c>
      <c r="G17" s="5">
        <f>$P$28*EXP(-$P$26*EXP(-$P$27*12))</f>
        <v>0.82561318083339463</v>
      </c>
      <c r="M17" s="8"/>
      <c r="N17" s="10"/>
      <c r="O17" s="8"/>
      <c r="P17" s="10"/>
    </row>
    <row r="18" spans="4:16" x14ac:dyDescent="0.2">
      <c r="D18">
        <v>13</v>
      </c>
      <c r="E18" s="5">
        <v>0.82368392056159478</v>
      </c>
      <c r="F18" s="5">
        <f>$N$29*((1-$N$26*EXP(-$N$27*13)/(1+$N$28*EXP(-$N$27*13))))</f>
        <v>0.87987169781552443</v>
      </c>
      <c r="G18" s="5">
        <f>$P$28*EXP(-$P$26*EXP(-$P$27*13))</f>
        <v>0.85849117384422813</v>
      </c>
      <c r="M18" s="8"/>
      <c r="N18" s="10"/>
      <c r="O18" s="8"/>
      <c r="P18" s="10"/>
    </row>
    <row r="19" spans="4:16" x14ac:dyDescent="0.2">
      <c r="D19">
        <v>14</v>
      </c>
      <c r="E19" s="5">
        <v>0.88206121534868132</v>
      </c>
      <c r="F19" s="5">
        <f>$N$29*((1-$N$26*EXP(-$N$27*14)/(1+$N$28*EXP(-$N$27*14))))</f>
        <v>0.88401541757361046</v>
      </c>
      <c r="G19" s="5">
        <f>$P$28*EXP(-$P$26*EXP(-$P$27*14))</f>
        <v>0.88170047532106599</v>
      </c>
      <c r="M19" s="8"/>
      <c r="N19" s="10"/>
      <c r="O19" s="8"/>
      <c r="P19" s="10"/>
    </row>
    <row r="20" spans="4:16" x14ac:dyDescent="0.2">
      <c r="D20">
        <v>15</v>
      </c>
      <c r="E20" s="5">
        <v>0.90098460118400614</v>
      </c>
      <c r="F20" s="5">
        <f>$N$29*((1-$N$26*EXP(-$N$27*15)/(1+$N$28*EXP(-$N$27*15))))</f>
        <v>0.88568652085728072</v>
      </c>
      <c r="G20" s="5">
        <f>$P$28*EXP(-$P$26*EXP(-$P$27*15))</f>
        <v>0.89791499756360682</v>
      </c>
      <c r="M20" s="8"/>
      <c r="N20" s="10"/>
      <c r="O20" s="8"/>
      <c r="P20" s="10"/>
    </row>
    <row r="21" spans="4:16" x14ac:dyDescent="0.2">
      <c r="D21">
        <v>16</v>
      </c>
      <c r="E21" s="5">
        <v>0.84189431123795577</v>
      </c>
      <c r="F21" s="5">
        <f>$N$29*((1-$N$26*EXP(-$N$27*16)/(1+$N$28*EXP(-$N$27*16))))</f>
        <v>0.88635747749210958</v>
      </c>
      <c r="G21" s="5">
        <f>$P$28*EXP(-$P$26*EXP(-$P$27*16))</f>
        <v>0.90916261296566425</v>
      </c>
      <c r="M21" s="8"/>
      <c r="N21" s="10"/>
      <c r="O21" s="8"/>
      <c r="P21" s="10"/>
    </row>
    <row r="22" spans="4:16" x14ac:dyDescent="0.2">
      <c r="D22">
        <v>17</v>
      </c>
      <c r="E22" s="5">
        <v>0.91902559749945023</v>
      </c>
      <c r="F22" s="5">
        <f>$N$29*((1-$N$26*EXP(-$N$27*17)/(1+$N$28*EXP(-$N$27*17))))</f>
        <v>0.88662639123255715</v>
      </c>
      <c r="G22" s="5">
        <f>$P$28*EXP(-$P$26*EXP(-$P$27*17))</f>
        <v>0.91692701460814219</v>
      </c>
      <c r="M22" s="8"/>
      <c r="N22" s="10"/>
      <c r="O22" s="8"/>
      <c r="P22" s="10"/>
    </row>
    <row r="23" spans="4:16" x14ac:dyDescent="0.2">
      <c r="D23">
        <v>18</v>
      </c>
      <c r="E23" s="5">
        <v>0.92853834763742138</v>
      </c>
      <c r="F23" s="5">
        <f>$N$29*((1-$N$26*EXP(-$N$27*18)/(1+$N$28*EXP(-$N$27*18))))</f>
        <v>0.88673409272257198</v>
      </c>
      <c r="G23" s="5">
        <f>$P$28*EXP(-$P$26*EXP(-$P$27*18))</f>
        <v>0.92226914654899395</v>
      </c>
      <c r="M23" s="8"/>
      <c r="N23" s="10"/>
      <c r="O23" s="8"/>
      <c r="P23" s="10"/>
    </row>
    <row r="24" spans="4:16" x14ac:dyDescent="0.2">
      <c r="D24">
        <v>19</v>
      </c>
      <c r="E24" s="5">
        <v>0.95514221363027951</v>
      </c>
      <c r="F24" s="5">
        <f>$N$29*((1-$N$26*EXP(-$N$27*19)/(1+$N$28*EXP(-$N$27*19))))</f>
        <v>0.8867772154595106</v>
      </c>
      <c r="G24" s="5">
        <f>$P$28*EXP(-$P$26*EXP(-$P$27*19))</f>
        <v>0.92593636456825235</v>
      </c>
      <c r="M24" s="8"/>
      <c r="N24" s="10"/>
      <c r="O24" s="8"/>
      <c r="P24" s="10"/>
    </row>
    <row r="25" spans="4:16" x14ac:dyDescent="0.2">
      <c r="D25">
        <v>20</v>
      </c>
      <c r="E25" s="5">
        <v>0.93189888006147681</v>
      </c>
      <c r="F25" s="5">
        <f>$N$29*((1-$N$26*EXP(-$N$27*20)/(1+$N$28*EXP(-$N$27*20))))</f>
        <v>0.88679447945145395</v>
      </c>
      <c r="G25" s="5">
        <f>$P$28*EXP(-$P$26*EXP(-$P$27*20))</f>
        <v>0.92844990708484643</v>
      </c>
      <c r="M25" s="8" t="s">
        <v>2</v>
      </c>
      <c r="N25" s="10"/>
      <c r="O25" s="8" t="s">
        <v>2</v>
      </c>
      <c r="P25" s="10"/>
    </row>
    <row r="26" spans="4:16" x14ac:dyDescent="0.2">
      <c r="D26">
        <v>21</v>
      </c>
      <c r="F26" s="5">
        <f>$N$29*((1-$N$26*EXP(-$N$27*21)/(1+$N$28*EXP(-$N$27*21))))</f>
        <v>0.88680139069560182</v>
      </c>
      <c r="G26" s="5">
        <f>$P$28*EXP(-$P$26*EXP(-$P$27*21))</f>
        <v>0.93017088867853026</v>
      </c>
      <c r="M26" s="8" t="s">
        <v>3</v>
      </c>
      <c r="N26" s="10">
        <v>1163.532839425967</v>
      </c>
      <c r="O26" s="8" t="s">
        <v>7</v>
      </c>
      <c r="P26" s="10">
        <v>11.932746304950136</v>
      </c>
    </row>
    <row r="27" spans="4:16" x14ac:dyDescent="0.2">
      <c r="D27">
        <v>22</v>
      </c>
      <c r="F27" s="5">
        <f>$N$29*((1-$N$26*EXP(-$N$27*22)/(1+$N$28*EXP(-$N$27*22))))</f>
        <v>0.88680415740331187</v>
      </c>
      <c r="G27" s="5">
        <f>$P$28*EXP(-$P$26*EXP(-$P$27*22))</f>
        <v>0.93134836529552512</v>
      </c>
      <c r="M27" s="8" t="s">
        <v>4</v>
      </c>
      <c r="N27" s="10">
        <v>0.91550385464385386</v>
      </c>
      <c r="O27" s="8" t="s">
        <v>3</v>
      </c>
      <c r="P27" s="10">
        <v>0.38107953845235409</v>
      </c>
    </row>
    <row r="28" spans="4:16" x14ac:dyDescent="0.2">
      <c r="D28">
        <v>23</v>
      </c>
      <c r="F28" s="5">
        <f>$N$29*((1-$N$26*EXP(-$N$27*23)/(1+$N$28*EXP(-$N$27*23))))</f>
        <v>0.88680526496299084</v>
      </c>
      <c r="G28" s="5">
        <f>$P$28*EXP(-$P$26*EXP(-$P$27*23))</f>
        <v>0.93215358408501747</v>
      </c>
      <c r="M28" s="8" t="s">
        <v>5</v>
      </c>
      <c r="N28" s="10">
        <v>1305.3655955994091</v>
      </c>
      <c r="O28" s="8" t="s">
        <v>6</v>
      </c>
      <c r="P28" s="10">
        <v>0.93389184699136829</v>
      </c>
    </row>
    <row r="29" spans="4:16" x14ac:dyDescent="0.2">
      <c r="D29">
        <v>24</v>
      </c>
      <c r="F29" s="5">
        <f>$N$29*((1-$N$26*EXP(-$N$27*24)/(1+$N$28*EXP(-$N$27*24))))</f>
        <v>0.88680570833647487</v>
      </c>
      <c r="G29" s="5">
        <f>$P$28*EXP(-$P$26*EXP(-$P$27*24))</f>
        <v>0.93270404819074559</v>
      </c>
      <c r="M29" s="8" t="s">
        <v>6</v>
      </c>
      <c r="N29" s="10">
        <v>0.88680600430707568</v>
      </c>
      <c r="O29" s="8"/>
      <c r="P29" s="10"/>
    </row>
    <row r="30" spans="4:16" ht="13.5" thickBot="1" x14ac:dyDescent="0.25">
      <c r="D30">
        <v>25</v>
      </c>
      <c r="F30" s="5">
        <f>$N$29*((1-$N$26*EXP(-$N$27*25)/(1+$N$28*EXP(-$N$27*25))))</f>
        <v>0.88680588582561515</v>
      </c>
      <c r="G30" s="5">
        <f>$P$28*EXP(-$P$26*EXP(-$P$27*25))</f>
        <v>0.93308027005169891</v>
      </c>
      <c r="M30" s="11"/>
      <c r="N30" s="12"/>
      <c r="O30" s="11"/>
      <c r="P30" s="12"/>
    </row>
    <row r="31" spans="4:16" ht="13.5" thickTop="1" x14ac:dyDescent="0.2">
      <c r="D31">
        <v>26</v>
      </c>
      <c r="F31" s="5">
        <f>$N$29*((1-$N$26*EXP(-$N$27*26)/(1+$N$28*EXP(-$N$27*26))))</f>
        <v>0.88680595687718033</v>
      </c>
      <c r="G31" s="5">
        <f>$P$28*EXP(-$P$26*EXP(-$P$27*26))</f>
        <v>0.93333736330507522</v>
      </c>
    </row>
    <row r="32" spans="4:16" x14ac:dyDescent="0.2">
      <c r="D32">
        <v>27</v>
      </c>
      <c r="F32" s="5">
        <f>$N$29*((1-$N$26*EXP(-$N$27*27)/(1+$N$28*EXP(-$N$27*27))))</f>
        <v>0.8868059853201824</v>
      </c>
      <c r="G32" s="5">
        <f>$P$28*EXP(-$P$26*EXP(-$P$27*27))</f>
        <v>0.93351303048429124</v>
      </c>
    </row>
    <row r="33" spans="4:7" x14ac:dyDescent="0.2">
      <c r="D33">
        <v>28</v>
      </c>
      <c r="F33" s="5">
        <f>$N$29*((1-$N$26*EXP(-$N$27*28)/(1+$N$28*EXP(-$N$27*28))))</f>
        <v>0.88680599670633975</v>
      </c>
      <c r="G33" s="5">
        <f>$P$28*EXP(-$P$26*EXP(-$P$27*28))</f>
        <v>0.93363305187912737</v>
      </c>
    </row>
    <row r="34" spans="4:7" x14ac:dyDescent="0.2">
      <c r="D34">
        <v>29</v>
      </c>
      <c r="F34" s="5">
        <f>$N$29*((1-$N$26*EXP(-$N$27*29)/(1+$N$28*EXP(-$N$27*29))))</f>
        <v>0.88680600126438802</v>
      </c>
      <c r="G34" s="5">
        <f>$P$28*EXP(-$P$26*EXP(-$P$27*29))</f>
        <v>0.93371505019186452</v>
      </c>
    </row>
    <row r="35" spans="4:7" x14ac:dyDescent="0.2">
      <c r="D35">
        <v>30</v>
      </c>
      <c r="F35" s="5">
        <f>$N$29*((1-$N$26*EXP(-$N$27*30)/(1+$N$28*EXP(-$N$27*30))))</f>
        <v>0.88680600308904256</v>
      </c>
      <c r="G35" s="5">
        <f>$P$28*EXP(-$P$26*EXP(-$P$27*30))</f>
        <v>0.93377106931072895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1:G31"/>
  <sheetViews>
    <sheetView workbookViewId="0">
      <selection activeCell="H27" sqref="H27"/>
    </sheetView>
  </sheetViews>
  <sheetFormatPr defaultRowHeight="12.75" x14ac:dyDescent="0.2"/>
  <cols>
    <col min="2" max="2" width="8.7109375" bestFit="1" customWidth="1"/>
    <col min="3" max="3" width="10.140625" bestFit="1" customWidth="1"/>
    <col min="6" max="6" width="10.140625" bestFit="1" customWidth="1"/>
    <col min="10" max="10" width="10.140625" bestFit="1" customWidth="1"/>
  </cols>
  <sheetData>
    <row r="11" spans="2:3" x14ac:dyDescent="0.2">
      <c r="B11" s="1" t="s">
        <v>1</v>
      </c>
      <c r="C11" s="3" t="s">
        <v>0</v>
      </c>
    </row>
    <row r="12" spans="2:3" x14ac:dyDescent="0.2">
      <c r="B12">
        <v>1</v>
      </c>
      <c r="C12" s="4">
        <v>4.0899591508379907E-2</v>
      </c>
    </row>
    <row r="13" spans="2:3" x14ac:dyDescent="0.2">
      <c r="B13">
        <v>2</v>
      </c>
      <c r="C13" s="4">
        <v>8.0048076237159996E-2</v>
      </c>
    </row>
    <row r="14" spans="2:3" x14ac:dyDescent="0.2">
      <c r="B14">
        <v>3</v>
      </c>
      <c r="C14" s="4">
        <v>9.1068111793234915E-2</v>
      </c>
    </row>
    <row r="15" spans="2:3" x14ac:dyDescent="0.2">
      <c r="B15">
        <v>4</v>
      </c>
      <c r="C15" s="4">
        <v>0.13718935258429801</v>
      </c>
    </row>
    <row r="16" spans="2:3" x14ac:dyDescent="0.2">
      <c r="B16">
        <v>5</v>
      </c>
      <c r="C16" s="4">
        <v>0.206905739497008</v>
      </c>
    </row>
    <row r="17" spans="2:7" x14ac:dyDescent="0.2">
      <c r="B17">
        <v>6</v>
      </c>
      <c r="C17" s="4">
        <v>0.17772878162495426</v>
      </c>
    </row>
    <row r="18" spans="2:7" x14ac:dyDescent="0.2">
      <c r="B18">
        <v>7</v>
      </c>
      <c r="C18" s="4">
        <v>0.28643049686583255</v>
      </c>
    </row>
    <row r="19" spans="2:7" x14ac:dyDescent="0.2">
      <c r="B19">
        <v>8</v>
      </c>
      <c r="C19" s="4">
        <v>0.56310898001108611</v>
      </c>
    </row>
    <row r="20" spans="2:7" x14ac:dyDescent="0.2">
      <c r="B20">
        <v>9</v>
      </c>
      <c r="C20" s="4">
        <v>0.76194465093335972</v>
      </c>
    </row>
    <row r="21" spans="2:7" x14ac:dyDescent="0.2">
      <c r="B21">
        <v>10</v>
      </c>
      <c r="C21" s="4">
        <v>0.72602132537895736</v>
      </c>
    </row>
    <row r="22" spans="2:7" x14ac:dyDescent="0.2">
      <c r="B22">
        <v>11</v>
      </c>
      <c r="C22" s="4">
        <v>0.81306500134634796</v>
      </c>
    </row>
    <row r="23" spans="2:7" x14ac:dyDescent="0.2">
      <c r="B23">
        <v>12</v>
      </c>
      <c r="C23" s="4">
        <v>0.80442339766310056</v>
      </c>
    </row>
    <row r="24" spans="2:7" x14ac:dyDescent="0.2">
      <c r="B24">
        <v>13</v>
      </c>
      <c r="C24" s="4">
        <v>0.82368392056159478</v>
      </c>
    </row>
    <row r="25" spans="2:7" x14ac:dyDescent="0.2">
      <c r="B25">
        <v>14</v>
      </c>
      <c r="C25" s="4">
        <v>0.88206121534868132</v>
      </c>
    </row>
    <row r="26" spans="2:7" x14ac:dyDescent="0.2">
      <c r="B26">
        <v>15</v>
      </c>
      <c r="C26" s="4">
        <v>0.90098460118400614</v>
      </c>
      <c r="G26" s="2"/>
    </row>
    <row r="27" spans="2:7" x14ac:dyDescent="0.2">
      <c r="B27">
        <v>16</v>
      </c>
      <c r="C27" s="4">
        <v>0.84189431123795577</v>
      </c>
    </row>
    <row r="28" spans="2:7" x14ac:dyDescent="0.2">
      <c r="B28">
        <v>17</v>
      </c>
      <c r="C28" s="4">
        <v>0.91902559749945023</v>
      </c>
    </row>
    <row r="29" spans="2:7" x14ac:dyDescent="0.2">
      <c r="B29">
        <v>18</v>
      </c>
      <c r="C29" s="4">
        <v>0.92853834763742138</v>
      </c>
    </row>
    <row r="30" spans="2:7" x14ac:dyDescent="0.2">
      <c r="B30">
        <v>19</v>
      </c>
      <c r="C30" s="4">
        <v>0.95514221363027951</v>
      </c>
    </row>
    <row r="31" spans="2:7" x14ac:dyDescent="0.2">
      <c r="B31">
        <v>20</v>
      </c>
      <c r="C31" s="4">
        <v>0.93189888006147681</v>
      </c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94" r:id="rId4" name="Button 50">
              <controlPr defaultSize="0" print="0" autoFill="0" autoPict="0" macro="[0]!LaunchMain">
                <anchor moveWithCells="1" sizeWithCells="1">
                  <from>
                    <xdr:col>4</xdr:col>
                    <xdr:colOff>76200</xdr:colOff>
                    <xdr:row>2</xdr:row>
                    <xdr:rowOff>104775</xdr:rowOff>
                  </from>
                  <to>
                    <xdr:col>11</xdr:col>
                    <xdr:colOff>600075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Sample Output</vt:lpstr>
      <vt:lpstr>Trend Curves Model Example</vt:lpstr>
      <vt:lpstr>Instructions!OLE_LINK1</vt:lpstr>
    </vt:vector>
  </TitlesOfParts>
  <Company>Lancaster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msaraf</dc:creator>
  <cp:lastModifiedBy>ordk</cp:lastModifiedBy>
  <dcterms:created xsi:type="dcterms:W3CDTF">2000-02-11T13:58:07Z</dcterms:created>
  <dcterms:modified xsi:type="dcterms:W3CDTF">2012-10-17T20:49:27Z</dcterms:modified>
</cp:coreProperties>
</file>